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JPr S.O.W\Vcert\"/>
    </mc:Choice>
  </mc:AlternateContent>
  <xr:revisionPtr revIDLastSave="0" documentId="8_{588332E1-8BF7-4C8D-BD85-85887D6A55E5}" xr6:coauthVersionLast="40" xr6:coauthVersionMax="40" xr10:uidLastSave="{00000000-0000-0000-0000-000000000000}"/>
  <bookViews>
    <workbookView xWindow="0" yWindow="0" windowWidth="18557" windowHeight="8450" xr2:uid="{00000000-000D-0000-FFFF-FFFF00000000}"/>
  </bookViews>
  <sheets>
    <sheet name="Qualification Grade" sheetId="1" r:id="rId1"/>
  </sheets>
  <definedNames>
    <definedName name="ExternalHeadder" localSheetId="0">'Qualification Grade'!$FK$1:$FN$1</definedName>
    <definedName name="ExternalMet" localSheetId="0">'Qualification Grade'!$R$15</definedName>
    <definedName name="ExternalSelect" localSheetId="0">'Qualification Grade'!$FK$2:$FK$8</definedName>
    <definedName name="ExternalUMS" localSheetId="0">'Qualification Grade'!$FK$1:$FN$9</definedName>
    <definedName name="Grades" localSheetId="0">'Qualification Grade'!$EK$1:$EK$5</definedName>
    <definedName name="GroupsGroup" localSheetId="0">'Qualification Grade'!$C$13:$C$25</definedName>
    <definedName name="HasMet" localSheetId="0">'Qualification Grade'!$BC$2</definedName>
    <definedName name="HurdleGroup" localSheetId="0">'Qualification Grade'!$K$13:$K$18</definedName>
    <definedName name="InternalAssessment" localSheetId="0">'Qualification Grade'!$DQ$1:$DU$67</definedName>
    <definedName name="InternalRawMaxGradeCalc" localSheetId="0">'Qualification Grade'!$FG$1:$FH$8</definedName>
    <definedName name="Levels" localSheetId="0">'Qualification Grade'!$EO$1:$EO$2</definedName>
    <definedName name="LevelSelected" localSheetId="0">'Qualification Grade'!$F$10</definedName>
    <definedName name="MandatoryGrades" localSheetId="0">'Qualification Grade'!$EM$1:$EM$4</definedName>
    <definedName name="MandatoryScoreGroup" localSheetId="0">'Qualification Grade'!$J$13:$J$18</definedName>
    <definedName name="RawGrade" localSheetId="0">'Qualification Grade'!$BD$2</definedName>
    <definedName name="RawScores" localSheetId="0">'Qualification Grade'!$CW$1:$DD$13</definedName>
    <definedName name="RawUmsPercent" localSheetId="0">'Qualification Grade'!$AZ$2</definedName>
    <definedName name="RequiredExternalUMS" localSheetId="0">'Qualification Grade'!$AV$2</definedName>
    <definedName name="Selections" localSheetId="0">'Qualification Grade'!$F$13:$F$18</definedName>
    <definedName name="TotalExternalUMS" localSheetId="0">'Qualification Grade'!$Q$15</definedName>
    <definedName name="TotalGHL" localSheetId="0">'Qualification Grade'!$CX$14</definedName>
    <definedName name="TotalGradeCalc" localSheetId="0">'Qualification Grade'!$AB$5:$AC$14</definedName>
    <definedName name="TotalInternalUMS" localSheetId="0">'Qualification Grade'!$AY$2</definedName>
    <definedName name="TotalUMS" localSheetId="0">'Qualification Grade'!$AC$2</definedName>
    <definedName name="UMSGroup" localSheetId="0">'Qualification Grade'!$I$13:$I$18</definedName>
    <definedName name="UnitSelections" localSheetId="0">'Qualification Grade'!$E$12:$F$18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M8" i="1" l="1"/>
  <c r="FM7" i="1"/>
  <c r="FM6" i="1"/>
  <c r="FM5" i="1"/>
  <c r="FM4" i="1"/>
  <c r="FM3" i="1"/>
  <c r="FL8" i="1"/>
  <c r="FL7" i="1"/>
  <c r="FL6" i="1"/>
  <c r="FL5" i="1"/>
  <c r="FL4" i="1"/>
  <c r="FL3" i="1"/>
  <c r="S14" i="1" l="1"/>
  <c r="S13" i="1"/>
  <c r="L14" i="1" l="1"/>
  <c r="L15" i="1"/>
  <c r="L16" i="1"/>
  <c r="L13" i="1"/>
  <c r="AV2" i="1"/>
  <c r="G16" i="1" l="1"/>
  <c r="E16" i="1" s="1"/>
  <c r="G15" i="1"/>
  <c r="E15" i="1" s="1"/>
  <c r="G14" i="1"/>
  <c r="E14" i="1" s="1"/>
  <c r="G13" i="1"/>
  <c r="E13" i="1" s="1"/>
  <c r="J16" i="1" l="1"/>
  <c r="CX6" i="1"/>
  <c r="Q14" i="1"/>
  <c r="R14" i="1" s="1"/>
  <c r="Q13" i="1"/>
  <c r="R13" i="1" s="1"/>
  <c r="CX3" i="1"/>
  <c r="J14" i="1"/>
  <c r="K14" i="1"/>
  <c r="CX2" i="1"/>
  <c r="K13" i="1"/>
  <c r="K15" i="1"/>
  <c r="CX4" i="1"/>
  <c r="J13" i="1"/>
  <c r="J15" i="1"/>
  <c r="CX7" i="1" l="1"/>
  <c r="CX5" i="1"/>
  <c r="CX8" i="1"/>
  <c r="K16" i="1"/>
  <c r="BB2" i="1" s="1"/>
  <c r="CX9" i="1"/>
  <c r="Q15" i="1"/>
  <c r="O9" i="1" s="1"/>
  <c r="BA2" i="1"/>
  <c r="AA2" i="1"/>
  <c r="CX14" i="1" l="1"/>
  <c r="CY4" i="1" s="1"/>
  <c r="CZ4" i="1" s="1"/>
  <c r="DC4" i="1" s="1"/>
  <c r="DR20" i="1" s="1"/>
  <c r="BC2" i="1"/>
  <c r="CY5" i="1" l="1"/>
  <c r="CZ5" i="1" s="1"/>
  <c r="DC5" i="1" s="1"/>
  <c r="DR21" i="1" s="1"/>
  <c r="CY9" i="1"/>
  <c r="CZ9" i="1" s="1"/>
  <c r="DC9" i="1" s="1"/>
  <c r="DR43" i="1" s="1"/>
  <c r="DA4" i="1"/>
  <c r="DR16" i="1" s="1"/>
  <c r="DD4" i="1"/>
  <c r="DR22" i="1" s="1"/>
  <c r="CY8" i="1"/>
  <c r="CZ8" i="1" s="1"/>
  <c r="DD8" i="1" s="1"/>
  <c r="DR44" i="1" s="1"/>
  <c r="CY7" i="1"/>
  <c r="CZ7" i="1" s="1"/>
  <c r="DB7" i="1" s="1"/>
  <c r="DR30" i="1" s="1"/>
  <c r="CY3" i="1"/>
  <c r="CZ3" i="1" s="1"/>
  <c r="DC3" i="1" s="1"/>
  <c r="DR10" i="1" s="1"/>
  <c r="CY2" i="1"/>
  <c r="CZ2" i="1" s="1"/>
  <c r="DA2" i="1" s="1"/>
  <c r="DR5" i="1" s="1"/>
  <c r="DB4" i="1"/>
  <c r="DR18" i="1" s="1"/>
  <c r="CY6" i="1"/>
  <c r="CZ6" i="1" s="1"/>
  <c r="DB6" i="1" s="1"/>
  <c r="DR29" i="1" s="1"/>
  <c r="DA9" i="1"/>
  <c r="DR39" i="1" s="1"/>
  <c r="DA8" i="1" l="1"/>
  <c r="DR38" i="1" s="1"/>
  <c r="DB9" i="1"/>
  <c r="DR41" i="1" s="1"/>
  <c r="DD5" i="1"/>
  <c r="DR23" i="1" s="1"/>
  <c r="DA5" i="1"/>
  <c r="DR17" i="1" s="1"/>
  <c r="DA3" i="1"/>
  <c r="DR6" i="1" s="1"/>
  <c r="DB5" i="1"/>
  <c r="DR19" i="1" s="1"/>
  <c r="DD9" i="1"/>
  <c r="DR45" i="1" s="1"/>
  <c r="DD3" i="1"/>
  <c r="DR12" i="1" s="1"/>
  <c r="DC8" i="1"/>
  <c r="DR42" i="1" s="1"/>
  <c r="DD7" i="1"/>
  <c r="DR34" i="1" s="1"/>
  <c r="DC2" i="1"/>
  <c r="DR9" i="1" s="1"/>
  <c r="DB3" i="1"/>
  <c r="DR8" i="1" s="1"/>
  <c r="DB8" i="1"/>
  <c r="DA7" i="1"/>
  <c r="DR28" i="1" s="1"/>
  <c r="DB2" i="1"/>
  <c r="DR7" i="1" s="1"/>
  <c r="DD6" i="1"/>
  <c r="DR33" i="1" s="1"/>
  <c r="DC7" i="1"/>
  <c r="DR32" i="1" s="1"/>
  <c r="DD2" i="1"/>
  <c r="DR11" i="1" s="1"/>
  <c r="DA6" i="1"/>
  <c r="DR27" i="1" s="1"/>
  <c r="DC6" i="1"/>
  <c r="DR31" i="1" s="1"/>
  <c r="I15" i="1" l="1"/>
  <c r="DR40" i="1"/>
  <c r="I16" i="1" s="1"/>
  <c r="I14" i="1"/>
  <c r="I13" i="1"/>
  <c r="AY2" i="1" l="1"/>
  <c r="AZ2" i="1"/>
  <c r="FG8" i="1" s="1"/>
  <c r="Z2" i="1"/>
  <c r="AB2" i="1" s="1"/>
  <c r="AC2" i="1" s="1"/>
  <c r="AB6" i="1" s="1"/>
  <c r="R15" i="1"/>
  <c r="FG5" i="1" l="1"/>
  <c r="FG2" i="1"/>
  <c r="FG6" i="1"/>
  <c r="FG4" i="1"/>
  <c r="FG7" i="1"/>
  <c r="FG3" i="1"/>
  <c r="AB11" i="1"/>
  <c r="AB8" i="1"/>
  <c r="AB14" i="1"/>
  <c r="AB13" i="1"/>
  <c r="AB12" i="1"/>
  <c r="AB7" i="1"/>
  <c r="AB9" i="1"/>
  <c r="AB10" i="1"/>
  <c r="BD2" i="1" l="1"/>
  <c r="BE2" i="1" s="1"/>
  <c r="F7" i="1"/>
</calcChain>
</file>

<file path=xl/sharedStrings.xml><?xml version="1.0" encoding="utf-8"?>
<sst xmlns="http://schemas.openxmlformats.org/spreadsheetml/2006/main" count="158" uniqueCount="118">
  <si>
    <t>Total Internal</t>
  </si>
  <si>
    <t>Total External</t>
  </si>
  <si>
    <t>Total UMS</t>
  </si>
  <si>
    <t>UMS Percent</t>
  </si>
  <si>
    <t>Required External UMS</t>
  </si>
  <si>
    <t>UMS</t>
  </si>
  <si>
    <t>Group 1 Mandatory Units Done</t>
  </si>
  <si>
    <t>Hurdle</t>
  </si>
  <si>
    <t>Met</t>
  </si>
  <si>
    <t>Internal Raw Grade</t>
  </si>
  <si>
    <t>Internal Finial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</si>
  <si>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</si>
  <si>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</si>
  <si>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</si>
  <si>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</si>
  <si>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</si>
  <si>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</si>
  <si>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</si>
  <si>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</si>
  <si>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</si>
  <si>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</si>
  <si>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</si>
  <si>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Level 1</t>
  </si>
  <si>
    <t>Overall Percentage Min</t>
  </si>
  <si>
    <t>Overall Percentage Max</t>
  </si>
  <si>
    <t>Raw Grade</t>
  </si>
  <si>
    <t>Grade</t>
  </si>
  <si>
    <t>External Grade</t>
  </si>
  <si>
    <t xml:space="preserve">000110    </t>
  </si>
  <si>
    <t xml:space="preserve">000109    </t>
  </si>
  <si>
    <t>Level 2</t>
  </si>
  <si>
    <t>Pass (Level 1)</t>
  </si>
  <si>
    <t>Pass (Level 2)</t>
  </si>
  <si>
    <t>Grading Calculator</t>
  </si>
  <si>
    <t>Achieved</t>
  </si>
  <si>
    <t>Merit (Level 1)</t>
  </si>
  <si>
    <t>Merit (Level 2)</t>
  </si>
  <si>
    <t>Estimated Final Grade</t>
  </si>
  <si>
    <t>Pass - Level 1</t>
  </si>
  <si>
    <t>Distinction (Level 1)</t>
  </si>
  <si>
    <t>Merit - Level 1</t>
  </si>
  <si>
    <t>Distinction (Level 2)</t>
  </si>
  <si>
    <t>Distinction - Level 1</t>
  </si>
  <si>
    <t>Select Level:</t>
  </si>
  <si>
    <t>Distinction * - Level 1</t>
  </si>
  <si>
    <t>Pass - Level 2</t>
  </si>
  <si>
    <t>Group</t>
  </si>
  <si>
    <t>Order</t>
  </si>
  <si>
    <t>Select Grade</t>
  </si>
  <si>
    <t>Level</t>
  </si>
  <si>
    <t>Mandatory</t>
  </si>
  <si>
    <t>Mandatory Score</t>
  </si>
  <si>
    <t>Code</t>
  </si>
  <si>
    <t>Select Result</t>
  </si>
  <si>
    <t>Done</t>
  </si>
  <si>
    <t>Merit - Level 2</t>
  </si>
  <si>
    <t>Yes</t>
  </si>
  <si>
    <t>Distinction - Level 2</t>
  </si>
  <si>
    <t>Distinction * - Level 2</t>
  </si>
  <si>
    <t>Internal Units</t>
  </si>
  <si>
    <t>External Assessment</t>
  </si>
  <si>
    <t xml:space="preserve">Level 1/2 Music Tech – Written                        </t>
  </si>
  <si>
    <t xml:space="preserve">Level 1/2 Music Tech – Practical                      </t>
  </si>
  <si>
    <t>601/6777/4 – NCFE Level 1 Technical Award in Music Technology
601/6774/9 – NCFE Level 2 Technical Award in Music Technology</t>
  </si>
  <si>
    <r>
      <t xml:space="preserve">Level 1 learners must achieve at least a Level 1 Pass in </t>
    </r>
    <r>
      <rPr>
        <b/>
        <sz val="9"/>
        <rFont val="Calibri"/>
        <family val="2"/>
      </rPr>
      <t>each</t>
    </r>
    <r>
      <rPr>
        <sz val="9"/>
        <rFont val="Calibri"/>
        <family val="2"/>
      </rPr>
      <t xml:space="preserve"> external assessment for an overall grade to be awarded. Level 2 learners must achieve at least a Level 2 Pass from </t>
    </r>
    <r>
      <rPr>
        <b/>
        <sz val="9"/>
        <rFont val="Calibri"/>
        <family val="2"/>
      </rPr>
      <t>across</t>
    </r>
    <r>
      <rPr>
        <sz val="9"/>
        <rFont val="Calibri"/>
        <family val="2"/>
      </rPr>
      <t xml:space="preserve"> the external assessments for an overall grade to be awarded.  </t>
    </r>
  </si>
  <si>
    <r>
      <rPr>
        <b/>
        <sz val="9"/>
        <rFont val="Calibri"/>
        <family val="2"/>
      </rPr>
      <t>All</t>
    </r>
    <r>
      <rPr>
        <sz val="9"/>
        <rFont val="Calibri"/>
        <family val="2"/>
      </rPr>
      <t xml:space="preserve"> internal units must be achieved at the level the learner is registered on. If a Level 2 learner does not achieve at least a Level 2 Pass in </t>
    </r>
    <r>
      <rPr>
        <b/>
        <sz val="9"/>
        <rFont val="Calibri"/>
        <family val="2"/>
      </rPr>
      <t>all</t>
    </r>
    <r>
      <rPr>
        <sz val="9"/>
        <rFont val="Calibri"/>
        <family val="2"/>
      </rPr>
      <t xml:space="preserve"> internal units, they will need to be re-registered as a Level 1 learner.</t>
    </r>
  </si>
  <si>
    <t>Unit 1 - Using a Digital Audio Workstation - Level 1</t>
  </si>
  <si>
    <t>Unit 1 - Using a Digital Audio Workstation_</t>
  </si>
  <si>
    <t>Unit 1 - Using a Digital Audio Workstation - Level 2</t>
  </si>
  <si>
    <t>Unit 1 - Using a Digital Audio Workstation - Level 1_Not Applicable</t>
  </si>
  <si>
    <t>Unit 1 - Using a Digital Audio Workstation - Level 2_Not Applicable</t>
  </si>
  <si>
    <t>Unit 1 - Using a Digital Audio Workstation - Level 1_Not Yet Achieved</t>
  </si>
  <si>
    <t>Unit 1 - Using a Digital Audio Workstation - Level 2_Not Yet Achieved</t>
  </si>
  <si>
    <t>Unit 1 - Using a Digital Audio Workstation - Level 1_Pass</t>
  </si>
  <si>
    <t>Unit 1 - Using a Digital Audio Workstation - Level 2_Pass</t>
  </si>
  <si>
    <t>Unit 1 - Using a Digital Audio Workstation - Level 1_Merit</t>
  </si>
  <si>
    <t>Unit 1 - Using a Digital Audio Workstation - Level 2_Merit</t>
  </si>
  <si>
    <t>Unit 1 - Using a Digital Audio Workstation - Level 1_Distinction</t>
  </si>
  <si>
    <t>Unit 1 - Using a Digital Audio Workstation - Level 2_Distinction</t>
  </si>
  <si>
    <t>Unit 2 - Creating Music - Level 1</t>
  </si>
  <si>
    <t>Unit 2 - Creating Music - Level 2</t>
  </si>
  <si>
    <t>Unit 2 - Creating Music_</t>
  </si>
  <si>
    <t>Unit 2 - Creating Music - Level 1_Not Applicable</t>
  </si>
  <si>
    <t>Unit 2 - Creating Music - Level 2_Not Applicable</t>
  </si>
  <si>
    <t>Unit 2 - Creating Music - Level 1_Not Yet Achieved</t>
  </si>
  <si>
    <t>Unit 2 - Creating Music - Level 2_Not Yet Achieved</t>
  </si>
  <si>
    <t>Unit 2 - Creating Music - Level 1_Pass</t>
  </si>
  <si>
    <t>Unit 2 - Creating Music - Level 2_Pass</t>
  </si>
  <si>
    <t>Unit 2 - Creating Music - Level 1_Merit</t>
  </si>
  <si>
    <t>Unit 2 - Creating Music - Level 2_Merit</t>
  </si>
  <si>
    <t>Unit 2 - Creating Music - Level 1_Distinction</t>
  </si>
  <si>
    <t>Unit 2 - Creating Music - Level 2_Distinction</t>
  </si>
  <si>
    <t>Unit 3 - Studio Recording - Level 1</t>
  </si>
  <si>
    <t>Unit 3 - Studio Recording - Level 2</t>
  </si>
  <si>
    <t>Unit 3 - Studio Recording_</t>
  </si>
  <si>
    <t>Unit 3 - Studio Recording - Level 1_Not Applicable</t>
  </si>
  <si>
    <t>Unit 3 - Studio Recording - Level 2_Not Applicable</t>
  </si>
  <si>
    <t>Unit 3 - Studio Recording - Level 1_Not Yet Achieved</t>
  </si>
  <si>
    <t>Unit 3 - Studio Recording - Level 2_Not Yet Achieved</t>
  </si>
  <si>
    <t>Unit 3 - Studio Recording - Level 1_Pass</t>
  </si>
  <si>
    <t>Unit 3 - Studio Recording - Level 2_Pass</t>
  </si>
  <si>
    <t>Unit 3 - Studio Recording - Level 1_Merit</t>
  </si>
  <si>
    <t>Unit 3 - Studio Recording - Level 2_Merit</t>
  </si>
  <si>
    <t>Unit 3 - Studio Recording - Level 1_Distinction</t>
  </si>
  <si>
    <t>Unit 3 - Studio Recording - Level 2_Distinction</t>
  </si>
  <si>
    <t>Unit 4 - Sound Creation - Level 1</t>
  </si>
  <si>
    <t>Unit 4 - Sound Creation - Level 2</t>
  </si>
  <si>
    <t>Unit 4 - Sound Creation_</t>
  </si>
  <si>
    <t>Unit 4 - Sound Creation - Level 1_Not Applicable</t>
  </si>
  <si>
    <t>Unit 4 - Sound Creation - Level 2_Not Applicable</t>
  </si>
  <si>
    <t>Unit 4 - Sound Creation - Level 1_Not Yet Achieved</t>
  </si>
  <si>
    <t>Unit 4 - Sound Creation - Level 2_Not Yet Achieved</t>
  </si>
  <si>
    <t>Unit 4 - Sound Creation - Level 1_Pass</t>
  </si>
  <si>
    <t>Unit 4 - Sound Creation - Level 2_Pass</t>
  </si>
  <si>
    <t>Unit 4 - Sound Creation - Level 1_Merit</t>
  </si>
  <si>
    <t>Unit 4 - Sound Creation - Level 2_Merit</t>
  </si>
  <si>
    <t>Unit 4 - Sound Creation - Level 1_Distinction</t>
  </si>
  <si>
    <t>Unit 4 - Sound Creation - Level 2_Distinction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</si>
</sst>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1" fillId="3" borderId="2" xfId="0" applyNumberFormat="1" applyFont="1" applyFill="1" applyBorder="1" applyProtection="1">
      <protection locked="0"/>
    </xf>
    <xf numFmtId="0" fontId="1" fillId="0" borderId="0" xfId="0" applyNumberFormat="1" applyFont="1" applyProtection="1"/>
    <xf numFmtId="0" fontId="2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2" fillId="2" borderId="1" xfId="0" applyNumberFormat="1" applyFont="1" applyFill="1" applyBorder="1" applyProtection="1"/>
    <xf numFmtId="0" fontId="1" fillId="0" borderId="0" xfId="0" applyNumberFormat="1" applyFont="1" applyAlignment="1" applyProtection="1">
      <alignment horizontal="left" vertical="center" wrapText="1"/>
    </xf>
    <xf numFmtId="0" fontId="1" fillId="0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95251</xdr:rowOff>
    </xdr:from>
    <xdr:to>
      <xdr:col>4</xdr:col>
      <xdr:colOff>1144895</xdr:colOff>
      <xdr:row>3</xdr:row>
      <xdr:rowOff>83343</xdr:rowOff>
    </xdr:to>
    <xdr:pic>
      <xdr:nvPicPr>
        <xdr:cNvPr id="2" name="NCF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95251"/>
          <a:ext cx="1141964" cy="449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45"/>
  <sheetViews>
    <sheetView tabSelected="1" topLeftCell="E1" zoomScaleNormal="100" workbookViewId="0">
      <selection activeCell="F6" sqref="F6"/>
    </sheetView>
  </sheetViews>
  <sheetFormatPr defaultColWidth="9.125" defaultRowHeight="11.55"/>
  <cols>
    <col min="1" max="4" width="9.125" style="2" hidden="1" customWidth="1"/>
    <col min="5" max="5" width="47.625" style="2" customWidth="1"/>
    <col min="6" max="6" width="16.25" style="2" customWidth="1"/>
    <col min="7" max="7" width="9.125" style="2" hidden="1" customWidth="1"/>
    <col min="8" max="8" width="9.25" style="2" hidden="1" customWidth="1"/>
    <col min="9" max="12" width="9.125" style="2" hidden="1" customWidth="1"/>
    <col min="13" max="14" width="9.125" style="2" customWidth="1"/>
    <col min="15" max="15" width="32.125" style="2" bestFit="1" customWidth="1"/>
    <col min="16" max="16" width="16.875" style="2" customWidth="1"/>
    <col min="17" max="166" width="9.125" style="2" hidden="1" customWidth="1"/>
    <col min="167" max="167" width="15.375" style="2" hidden="1" customWidth="1"/>
    <col min="168" max="169" width="9.125" style="2" hidden="1" customWidth="1"/>
    <col min="170" max="171" width="9.125" style="2" customWidth="1"/>
    <col min="172" max="16384" width="9.125" style="2"/>
  </cols>
  <sheetData>
    <row r="1" spans="3:169">
      <c r="Z1" s="2" t="s">
        <v>0</v>
      </c>
      <c r="AA1" s="2" t="s">
        <v>1</v>
      </c>
      <c r="AB1" s="2" t="s">
        <v>2</v>
      </c>
      <c r="AC1" s="2" t="s">
        <v>3</v>
      </c>
      <c r="AV1" s="2" t="s">
        <v>4</v>
      </c>
      <c r="AY1" s="2" t="s">
        <v>2</v>
      </c>
      <c r="AZ1" s="2" t="s">
        <v>5</v>
      </c>
      <c r="BA1" s="2" t="s">
        <v>6</v>
      </c>
      <c r="BB1" s="2" t="s">
        <v>7</v>
      </c>
      <c r="BC1" s="2" t="s">
        <v>8</v>
      </c>
      <c r="BD1" s="2" t="s">
        <v>9</v>
      </c>
      <c r="BE1" s="2" t="s">
        <v>10</v>
      </c>
      <c r="CW1" s="2" t="s">
        <v>11</v>
      </c>
      <c r="CX1" s="2" t="s">
        <v>12</v>
      </c>
      <c r="CY1" s="2" t="s">
        <v>13</v>
      </c>
      <c r="CZ1" s="2" t="s">
        <v>14</v>
      </c>
      <c r="DA1" s="2" t="s">
        <v>15</v>
      </c>
      <c r="DB1" s="2" t="s">
        <v>16</v>
      </c>
      <c r="DC1" s="2" t="s">
        <v>17</v>
      </c>
      <c r="DD1" s="2" t="s">
        <v>18</v>
      </c>
      <c r="DQ1" s="2" t="s">
        <v>19</v>
      </c>
      <c r="DR1" s="2" t="s">
        <v>5</v>
      </c>
      <c r="DS1" s="2" t="s">
        <v>20</v>
      </c>
      <c r="DT1" s="2" t="s">
        <v>7</v>
      </c>
      <c r="EK1" s="2" t="s">
        <v>21</v>
      </c>
      <c r="EM1" s="2" t="s">
        <v>15</v>
      </c>
      <c r="EO1" s="2" t="s">
        <v>22</v>
      </c>
      <c r="FE1" s="2" t="s">
        <v>23</v>
      </c>
      <c r="FF1" s="2" t="s">
        <v>24</v>
      </c>
      <c r="FG1" s="2" t="s">
        <v>25</v>
      </c>
      <c r="FH1" s="2" t="s">
        <v>26</v>
      </c>
      <c r="FK1" s="2" t="s">
        <v>27</v>
      </c>
      <c r="FL1" s="2" t="s">
        <v>28</v>
      </c>
      <c r="FM1" s="2" t="s">
        <v>29</v>
      </c>
    </row>
    <row r="2" spans="3:169">
      <c r="Z2" s="2">
        <f ca="1">IF(HasMet, TotalInternalUMS, 0)</f>
        <v>130</v>
      </c>
      <c r="AA2" s="2">
        <f>TotalExternalUMS</f>
        <v>120</v>
      </c>
      <c r="AB2" s="2">
        <f ca="1">SUM(Z2:AA2)</f>
        <v>250</v>
      </c>
      <c r="AC2" s="2">
        <f ca="1">AB2/400</f>
        <v>0.625</v>
      </c>
      <c r="AV2" s="2">
        <f>2*IF(LevelSelected="Level 1",20,60)</f>
        <v>120</v>
      </c>
      <c r="AY2" s="2">
        <f>SUM(UMSGroup)</f>
        <v>130</v>
      </c>
      <c r="AZ2" s="2">
        <f>SUM(UMSGroup)/200</f>
        <v>0.65</v>
      </c>
      <c r="BA2" s="2" t="b">
        <f ca="1">SUMIF(GroupsGroup,1,MandatoryScoreGroup) &gt;= 100</f>
        <v>1</v>
      </c>
      <c r="BB2" s="2" t="b">
        <f>IF(SUM(HurdleGroup)=0,TRUE,FALSE)</f>
        <v>1</v>
      </c>
      <c r="BC2" s="2" t="b">
        <f ca="1">AND(BA2,BB2)</f>
        <v>1</v>
      </c>
      <c r="BD2" s="2" t="str">
        <f>VLOOKUP(1,InternalRawMaxGradeCalc,2,FALSE)</f>
        <v>Pass (Level 2)</v>
      </c>
      <c r="BE2" s="2" t="str">
        <f ca="1">IF(HasMet,(IF(AND(COUNTIF(Selections,"Distinction")&gt;=6,COUNTIF(Selections,"Merit")=0,COUNTIF(Selections,"Pass")=0),"Distinction *",RawGrade)),"Not Yet Achieved")</f>
        <v>Pass (Level 2)</v>
      </c>
      <c r="CW2" s="2" t="s">
        <v>66</v>
      </c>
      <c r="CX2" s="2">
        <f>IFERROR(IF(VLOOKUP(CW2,UnitSelections,2,FALSE) ="Not Applicable",0,30),0)</f>
        <v>0</v>
      </c>
      <c r="CY2" s="2">
        <f t="shared" ref="CY2:CY9" si="0">SUM(CX2/TotalGHL)</f>
        <v>0</v>
      </c>
      <c r="CZ2" s="2">
        <f t="shared" ref="CZ2:CZ9" si="1">SUM(CY2*200)</f>
        <v>0</v>
      </c>
      <c r="DA2" s="2">
        <f t="shared" ref="DA2:DA9" si="2">SUM(0 % *CZ2)</f>
        <v>0</v>
      </c>
      <c r="DB2" s="2">
        <f>SUM(25 % *CZ2)</f>
        <v>0</v>
      </c>
      <c r="DC2" s="2">
        <f>SUM(35 % *CZ2)</f>
        <v>0</v>
      </c>
      <c r="DD2" s="2">
        <f>SUM(45 % *CZ2)</f>
        <v>0</v>
      </c>
      <c r="DQ2" s="2" t="s">
        <v>67</v>
      </c>
      <c r="DR2" s="2">
        <v>0</v>
      </c>
      <c r="DS2" s="2">
        <v>0</v>
      </c>
      <c r="DT2" s="2">
        <v>0</v>
      </c>
      <c r="EK2" s="2" t="s">
        <v>15</v>
      </c>
      <c r="EM2" s="2" t="s">
        <v>16</v>
      </c>
      <c r="EO2" s="2" t="s">
        <v>30</v>
      </c>
      <c r="FE2" s="2">
        <v>0</v>
      </c>
      <c r="FF2" s="2">
        <v>20</v>
      </c>
      <c r="FG2" s="2">
        <f t="shared" ref="FG2:FG8" si="3">IF(AND(RawUmsPercent*100&gt;=FE2,RawUmsPercent*100&lt;FF2),1, 0)</f>
        <v>0</v>
      </c>
      <c r="FH2" s="2" t="s">
        <v>15</v>
      </c>
      <c r="FK2" s="2" t="s">
        <v>15</v>
      </c>
      <c r="FL2" s="2">
        <v>0</v>
      </c>
      <c r="FM2" s="2">
        <v>0</v>
      </c>
    </row>
    <row r="3" spans="3:169">
      <c r="CW3" s="2" t="s">
        <v>68</v>
      </c>
      <c r="CX3" s="2">
        <f>IFERROR(IF(VLOOKUP(CW3,UnitSelections,2,FALSE) ="Not Applicable",0,30),0)</f>
        <v>30</v>
      </c>
      <c r="CY3" s="2">
        <f t="shared" si="0"/>
        <v>0.21428571428571427</v>
      </c>
      <c r="CZ3" s="2">
        <f t="shared" si="1"/>
        <v>42.857142857142854</v>
      </c>
      <c r="DA3" s="2">
        <f t="shared" si="2"/>
        <v>0</v>
      </c>
      <c r="DB3" s="2">
        <f>SUM(65 % *CZ3)</f>
        <v>27.857142857142858</v>
      </c>
      <c r="DC3" s="2">
        <f>SUM(75 % *CZ3)</f>
        <v>32.142857142857139</v>
      </c>
      <c r="DD3" s="2">
        <f>SUM(85 % *CZ3)</f>
        <v>36.428571428571423</v>
      </c>
      <c r="DQ3" s="2" t="s">
        <v>69</v>
      </c>
      <c r="DR3" s="2">
        <v>0</v>
      </c>
      <c r="DS3" s="2">
        <v>0</v>
      </c>
      <c r="DT3" s="2">
        <v>0</v>
      </c>
      <c r="EK3" s="2" t="s">
        <v>16</v>
      </c>
      <c r="EM3" s="2" t="s">
        <v>17</v>
      </c>
      <c r="FE3" s="2">
        <v>20</v>
      </c>
      <c r="FF3" s="2">
        <v>30</v>
      </c>
      <c r="FG3" s="2">
        <f t="shared" si="3"/>
        <v>0</v>
      </c>
      <c r="FH3" s="2" t="s">
        <v>31</v>
      </c>
      <c r="FK3" s="2" t="s">
        <v>31</v>
      </c>
      <c r="FL3" s="2">
        <f>((20 / 100) * 60)</f>
        <v>12</v>
      </c>
      <c r="FM3" s="2">
        <f>((20 / 100) * 140)</f>
        <v>28</v>
      </c>
    </row>
    <row r="4" spans="3:169">
      <c r="CW4" s="2" t="s">
        <v>79</v>
      </c>
      <c r="CX4" s="2">
        <f>IFERROR(IF(VLOOKUP(CW4,UnitSelections,2,FALSE) ="Not Applicable",0,30),0)</f>
        <v>0</v>
      </c>
      <c r="CY4" s="2">
        <f t="shared" si="0"/>
        <v>0</v>
      </c>
      <c r="CZ4" s="2">
        <f t="shared" si="1"/>
        <v>0</v>
      </c>
      <c r="DA4" s="2">
        <f t="shared" si="2"/>
        <v>0</v>
      </c>
      <c r="DB4" s="2">
        <f>SUM(25 % *CZ4)</f>
        <v>0</v>
      </c>
      <c r="DC4" s="2">
        <f>SUM(35 % *CZ4)</f>
        <v>0</v>
      </c>
      <c r="DD4" s="2">
        <f>SUM(45 % *CZ4)</f>
        <v>0</v>
      </c>
      <c r="DQ4" s="2" t="s">
        <v>70</v>
      </c>
      <c r="DR4" s="2">
        <v>0</v>
      </c>
      <c r="DS4" s="2">
        <v>0</v>
      </c>
      <c r="DT4" s="2">
        <v>0</v>
      </c>
      <c r="EK4" s="2" t="s">
        <v>17</v>
      </c>
      <c r="EM4" s="2" t="s">
        <v>18</v>
      </c>
      <c r="FE4" s="2">
        <v>60</v>
      </c>
      <c r="FF4" s="2">
        <v>70</v>
      </c>
      <c r="FG4" s="2">
        <f t="shared" si="3"/>
        <v>1</v>
      </c>
      <c r="FH4" s="2" t="s">
        <v>32</v>
      </c>
      <c r="FK4" s="2" t="s">
        <v>32</v>
      </c>
      <c r="FL4" s="2">
        <f>((60 / 100) * 60)</f>
        <v>36</v>
      </c>
      <c r="FM4" s="2">
        <f>((60 / 100) * 140)</f>
        <v>84</v>
      </c>
    </row>
    <row r="5" spans="3:169">
      <c r="E5" s="3" t="s">
        <v>33</v>
      </c>
      <c r="Z5" s="2" t="s">
        <v>23</v>
      </c>
      <c r="AA5" s="2" t="s">
        <v>24</v>
      </c>
      <c r="AB5" s="2" t="s">
        <v>34</v>
      </c>
      <c r="AC5" s="2" t="s">
        <v>26</v>
      </c>
      <c r="CW5" s="2" t="s">
        <v>80</v>
      </c>
      <c r="CX5" s="2">
        <f>IFERROR(IF(VLOOKUP(CW5,UnitSelections,2,FALSE) ="Not Applicable",0,30),0)</f>
        <v>30</v>
      </c>
      <c r="CY5" s="2">
        <f t="shared" si="0"/>
        <v>0.21428571428571427</v>
      </c>
      <c r="CZ5" s="2">
        <f t="shared" si="1"/>
        <v>42.857142857142854</v>
      </c>
      <c r="DA5" s="2">
        <f t="shared" si="2"/>
        <v>0</v>
      </c>
      <c r="DB5" s="2">
        <f>SUM(65 % *CZ5)</f>
        <v>27.857142857142858</v>
      </c>
      <c r="DC5" s="2">
        <f>SUM(75 % *CZ5)</f>
        <v>32.142857142857139</v>
      </c>
      <c r="DD5" s="2">
        <f>SUM(85 % *CZ5)</f>
        <v>36.428571428571423</v>
      </c>
      <c r="DQ5" s="2" t="s">
        <v>71</v>
      </c>
      <c r="DR5" s="2">
        <f>VLOOKUP("Unit 1 - Using a Digital Audio Workstation - Level 1",RawScores,5,FALSE)</f>
        <v>0</v>
      </c>
      <c r="DS5" s="2">
        <v>0</v>
      </c>
      <c r="DT5" s="2">
        <v>1</v>
      </c>
      <c r="EK5" s="2" t="s">
        <v>18</v>
      </c>
      <c r="FE5" s="2">
        <v>30</v>
      </c>
      <c r="FF5" s="2">
        <v>40</v>
      </c>
      <c r="FG5" s="2">
        <f t="shared" si="3"/>
        <v>0</v>
      </c>
      <c r="FH5" s="2" t="s">
        <v>35</v>
      </c>
      <c r="FK5" s="2" t="s">
        <v>35</v>
      </c>
      <c r="FL5" s="2">
        <f>((30 / 100) * 60)</f>
        <v>18</v>
      </c>
      <c r="FM5" s="2">
        <f>((30 / 100) * 140)</f>
        <v>42</v>
      </c>
    </row>
    <row r="6" spans="3:169" ht="23.8" thickBot="1">
      <c r="E6" s="4" t="s">
        <v>63</v>
      </c>
      <c r="Z6" s="2">
        <v>0</v>
      </c>
      <c r="AA6" s="2">
        <v>20</v>
      </c>
      <c r="AB6" s="2">
        <f t="shared" ref="AB6:AB14" ca="1" si="4">IF(AND(TotalUMS*100&gt;=Z6,TotalUMS*100&lt;AA6),1, 0)</f>
        <v>0</v>
      </c>
      <c r="AC6" s="2" t="s">
        <v>15</v>
      </c>
      <c r="CW6" s="2" t="s">
        <v>92</v>
      </c>
      <c r="CX6" s="2">
        <f>IFERROR(IF(VLOOKUP(CW6,UnitSelections,2,FALSE) ="Not Applicable",0,40),0)</f>
        <v>0</v>
      </c>
      <c r="CY6" s="2">
        <f t="shared" si="0"/>
        <v>0</v>
      </c>
      <c r="CZ6" s="2">
        <f t="shared" si="1"/>
        <v>0</v>
      </c>
      <c r="DA6" s="2">
        <f t="shared" si="2"/>
        <v>0</v>
      </c>
      <c r="DB6" s="2">
        <f>SUM(25 % *CZ6)</f>
        <v>0</v>
      </c>
      <c r="DC6" s="2">
        <f>SUM(35 % *CZ6)</f>
        <v>0</v>
      </c>
      <c r="DD6" s="2">
        <f>SUM(45 % *CZ6)</f>
        <v>0</v>
      </c>
      <c r="DQ6" s="2" t="s">
        <v>72</v>
      </c>
      <c r="DR6" s="2">
        <f>VLOOKUP("Unit 1 - Using a Digital Audio Workstation - Level 2",RawScores,5,FALSE)</f>
        <v>0</v>
      </c>
      <c r="DS6" s="2">
        <v>0</v>
      </c>
      <c r="DT6" s="2">
        <v>1</v>
      </c>
      <c r="FE6" s="2">
        <v>70</v>
      </c>
      <c r="FF6" s="2">
        <v>80</v>
      </c>
      <c r="FG6" s="2">
        <f t="shared" si="3"/>
        <v>0</v>
      </c>
      <c r="FH6" s="2" t="s">
        <v>36</v>
      </c>
      <c r="FK6" s="2" t="s">
        <v>36</v>
      </c>
      <c r="FL6" s="2">
        <f>((70 / 100) * 60)</f>
        <v>42</v>
      </c>
      <c r="FM6" s="2">
        <f>((70 / 100) * 140)</f>
        <v>98</v>
      </c>
    </row>
    <row r="7" spans="3:169" ht="12.25" thickBot="1">
      <c r="E7" s="2" t="s">
        <v>37</v>
      </c>
      <c r="F7" s="5" t="str">
        <f ca="1">IF(AND(LevelSelected="Level 1",RIGHT(IF(AND(L13:L16,S13:S14),"Distinction * - "&amp;LevelSelected,IF(AND(ExternalMet,HasMet), VLOOKUP(1,TotalGradeCalc,2,FALSE),"Not Yet Achieved")),1)="2"),"Distinction * - Level 1",IF(AND(L13:L16,S13:S14),"Distinction * - "&amp;LevelSelected,IF(AND(ExternalMet,HasMet), VLOOKUP(1,TotalGradeCalc,2,FALSE),"Not Yet Achieved")))</f>
        <v>Pass - Level 2</v>
      </c>
      <c r="Z7" s="2">
        <v>20</v>
      </c>
      <c r="AA7" s="2">
        <v>30</v>
      </c>
      <c r="AB7" s="2">
        <f t="shared" ca="1" si="4"/>
        <v>0</v>
      </c>
      <c r="AC7" s="2" t="s">
        <v>38</v>
      </c>
      <c r="CW7" s="2" t="s">
        <v>93</v>
      </c>
      <c r="CX7" s="2">
        <f>IFERROR(IF(VLOOKUP(CW7,UnitSelections,2,FALSE) ="Not Applicable",0,40),0)</f>
        <v>40</v>
      </c>
      <c r="CY7" s="2">
        <f t="shared" si="0"/>
        <v>0.2857142857142857</v>
      </c>
      <c r="CZ7" s="2">
        <f t="shared" si="1"/>
        <v>57.142857142857139</v>
      </c>
      <c r="DA7" s="2">
        <f t="shared" si="2"/>
        <v>0</v>
      </c>
      <c r="DB7" s="2">
        <f>SUM(65 % *CZ7)</f>
        <v>37.142857142857139</v>
      </c>
      <c r="DC7" s="2">
        <f>SUM(75 % *CZ7)</f>
        <v>42.857142857142854</v>
      </c>
      <c r="DD7" s="2">
        <f>SUM(85 % *CZ7)</f>
        <v>48.571428571428569</v>
      </c>
      <c r="DQ7" s="2" t="s">
        <v>73</v>
      </c>
      <c r="DR7" s="2">
        <f>VLOOKUP("Unit 1 - Using a Digital Audio Workstation - Level 1",RawScores,6,FALSE)</f>
        <v>0</v>
      </c>
      <c r="DS7" s="2">
        <v>25</v>
      </c>
      <c r="DT7" s="2">
        <v>0</v>
      </c>
      <c r="FE7" s="2">
        <v>40</v>
      </c>
      <c r="FF7" s="2">
        <v>60</v>
      </c>
      <c r="FG7" s="2">
        <f t="shared" si="3"/>
        <v>0</v>
      </c>
      <c r="FH7" s="2" t="s">
        <v>39</v>
      </c>
      <c r="FK7" s="2" t="s">
        <v>39</v>
      </c>
      <c r="FL7" s="2">
        <f>((40 / 100) * 60)</f>
        <v>24</v>
      </c>
      <c r="FM7" s="2">
        <f>((40 / 100) * 140)</f>
        <v>56</v>
      </c>
    </row>
    <row r="8" spans="3:169" ht="46.2">
      <c r="E8" s="6" t="s">
        <v>64</v>
      </c>
      <c r="Z8" s="2">
        <v>30</v>
      </c>
      <c r="AA8" s="2">
        <v>40</v>
      </c>
      <c r="AB8" s="2">
        <f t="shared" ca="1" si="4"/>
        <v>0</v>
      </c>
      <c r="AC8" s="2" t="s">
        <v>40</v>
      </c>
      <c r="CW8" s="2" t="s">
        <v>105</v>
      </c>
      <c r="CX8" s="2">
        <f>IFERROR(IF(VLOOKUP(CW8,UnitSelections,2,FALSE) ="Not Applicable",0,40),0)</f>
        <v>0</v>
      </c>
      <c r="CY8" s="2">
        <f t="shared" si="0"/>
        <v>0</v>
      </c>
      <c r="CZ8" s="2">
        <f t="shared" si="1"/>
        <v>0</v>
      </c>
      <c r="DA8" s="2">
        <f t="shared" si="2"/>
        <v>0</v>
      </c>
      <c r="DB8" s="2">
        <f>SUM(25 % *CZ8)</f>
        <v>0</v>
      </c>
      <c r="DC8" s="2">
        <f>SUM(35 % *CZ8)</f>
        <v>0</v>
      </c>
      <c r="DD8" s="2">
        <f>SUM(45 % *CZ8)</f>
        <v>0</v>
      </c>
      <c r="DQ8" s="2" t="s">
        <v>74</v>
      </c>
      <c r="DR8" s="2">
        <f>VLOOKUP("Unit 1 - Using a Digital Audio Workstation - Level 2",RawScores,6,FALSE)</f>
        <v>27.857142857142858</v>
      </c>
      <c r="DS8" s="2">
        <v>25</v>
      </c>
      <c r="DT8" s="2">
        <v>0</v>
      </c>
      <c r="FE8" s="2">
        <v>80</v>
      </c>
      <c r="FF8" s="2">
        <v>100.01</v>
      </c>
      <c r="FG8" s="2">
        <f t="shared" si="3"/>
        <v>0</v>
      </c>
      <c r="FH8" s="2" t="s">
        <v>41</v>
      </c>
      <c r="FK8" s="2" t="s">
        <v>41</v>
      </c>
      <c r="FL8" s="2">
        <f>((80 / 100) * 60)</f>
        <v>48</v>
      </c>
      <c r="FM8" s="2">
        <f>((80 / 100) * 140)</f>
        <v>112</v>
      </c>
    </row>
    <row r="9" spans="3:169" ht="46.2">
      <c r="E9" s="6" t="s">
        <v>65</v>
      </c>
      <c r="O9" s="2" t="str">
        <f>IF(TotalExternalUMS&gt;=RequiredExternalUMS,"","Note: The external assessment result has not reached the minimum required")</f>
        <v/>
      </c>
      <c r="Z9" s="2">
        <v>40</v>
      </c>
      <c r="AA9" s="2">
        <v>50</v>
      </c>
      <c r="AB9" s="2">
        <f t="shared" ca="1" si="4"/>
        <v>0</v>
      </c>
      <c r="AC9" s="2" t="s">
        <v>42</v>
      </c>
      <c r="CW9" s="2" t="s">
        <v>106</v>
      </c>
      <c r="CX9" s="2">
        <f>IFERROR(IF(VLOOKUP(CW9,UnitSelections,2,FALSE) ="Not Applicable",0,40),0)</f>
        <v>40</v>
      </c>
      <c r="CY9" s="2">
        <f t="shared" si="0"/>
        <v>0.2857142857142857</v>
      </c>
      <c r="CZ9" s="2">
        <f t="shared" si="1"/>
        <v>57.142857142857139</v>
      </c>
      <c r="DA9" s="2">
        <f t="shared" si="2"/>
        <v>0</v>
      </c>
      <c r="DB9" s="2">
        <f>SUM(65 % *CZ9)</f>
        <v>37.142857142857139</v>
      </c>
      <c r="DC9" s="2">
        <f>SUM(75 % *CZ9)</f>
        <v>42.857142857142854</v>
      </c>
      <c r="DD9" s="2">
        <f>SUM(85 % *CZ9)</f>
        <v>48.571428571428569</v>
      </c>
      <c r="DQ9" s="2" t="s">
        <v>75</v>
      </c>
      <c r="DR9" s="2">
        <f>VLOOKUP("Unit 1 - Using a Digital Audio Workstation - Level 1",RawScores,7,FALSE)</f>
        <v>0</v>
      </c>
      <c r="DS9" s="2">
        <v>25</v>
      </c>
      <c r="DT9" s="2">
        <v>0</v>
      </c>
    </row>
    <row r="10" spans="3:169">
      <c r="E10" s="2" t="s">
        <v>43</v>
      </c>
      <c r="F10" s="1" t="s">
        <v>30</v>
      </c>
      <c r="Z10" s="2">
        <v>50</v>
      </c>
      <c r="AA10" s="2">
        <v>60</v>
      </c>
      <c r="AB10" s="2">
        <f t="shared" ca="1" si="4"/>
        <v>0</v>
      </c>
      <c r="AC10" s="2" t="s">
        <v>44</v>
      </c>
      <c r="DQ10" s="2" t="s">
        <v>76</v>
      </c>
      <c r="DR10" s="2">
        <f>VLOOKUP("Unit 1 - Using a Digital Audio Workstation - Level 2",RawScores,7,FALSE)</f>
        <v>32.142857142857139</v>
      </c>
      <c r="DS10" s="2">
        <v>25</v>
      </c>
      <c r="DT10" s="2">
        <v>0</v>
      </c>
    </row>
    <row r="11" spans="3:169">
      <c r="Z11" s="2">
        <v>60</v>
      </c>
      <c r="AA11" s="2">
        <v>70</v>
      </c>
      <c r="AB11" s="2">
        <f t="shared" ca="1" si="4"/>
        <v>1</v>
      </c>
      <c r="AC11" s="2" t="s">
        <v>45</v>
      </c>
      <c r="DQ11" s="2" t="s">
        <v>77</v>
      </c>
      <c r="DR11" s="2">
        <f>VLOOKUP("Unit 1 - Using a Digital Audio Workstation - Level 1",RawScores,8,FALSE)</f>
        <v>0</v>
      </c>
      <c r="DS11" s="2">
        <v>25</v>
      </c>
      <c r="DT11" s="2">
        <v>0</v>
      </c>
    </row>
    <row r="12" spans="3:169">
      <c r="C12" s="2" t="s">
        <v>46</v>
      </c>
      <c r="D12" s="2" t="s">
        <v>47</v>
      </c>
      <c r="E12" s="2" t="s">
        <v>59</v>
      </c>
      <c r="F12" s="2" t="s">
        <v>48</v>
      </c>
      <c r="G12" s="2" t="s">
        <v>49</v>
      </c>
      <c r="H12" s="2" t="s">
        <v>50</v>
      </c>
      <c r="I12" s="2" t="s">
        <v>5</v>
      </c>
      <c r="J12" s="2" t="s">
        <v>51</v>
      </c>
      <c r="K12" s="2" t="s">
        <v>7</v>
      </c>
      <c r="L12" s="2" t="s">
        <v>18</v>
      </c>
      <c r="N12" s="2" t="s">
        <v>52</v>
      </c>
      <c r="O12" s="2" t="s">
        <v>60</v>
      </c>
      <c r="P12" s="2" t="s">
        <v>53</v>
      </c>
      <c r="Q12" s="2" t="s">
        <v>5</v>
      </c>
      <c r="R12" s="2" t="s">
        <v>54</v>
      </c>
      <c r="S12" s="2" t="s">
        <v>18</v>
      </c>
      <c r="Z12" s="2">
        <v>70</v>
      </c>
      <c r="AA12" s="2">
        <v>80</v>
      </c>
      <c r="AB12" s="2">
        <f t="shared" ca="1" si="4"/>
        <v>0</v>
      </c>
      <c r="AC12" s="2" t="s">
        <v>55</v>
      </c>
      <c r="DQ12" s="2" t="s">
        <v>78</v>
      </c>
      <c r="DR12" s="2">
        <f>VLOOKUP("Unit 1 - Using a Digital Audio Workstation - Level 2",RawScores,8,FALSE)</f>
        <v>36.428571428571423</v>
      </c>
      <c r="DS12" s="2">
        <v>25</v>
      </c>
      <c r="DT12" s="2">
        <v>0</v>
      </c>
    </row>
    <row r="13" spans="3:169">
      <c r="C13" s="2">
        <v>1</v>
      </c>
      <c r="D13" s="2">
        <v>1</v>
      </c>
      <c r="E13" s="2" t="str">
        <f>"Unit 1 - Using a Digital Audio Workstation - " &amp; G13</f>
        <v>Unit 1 - Using a Digital Audio Workstation - Level 2</v>
      </c>
      <c r="F13" s="1" t="s">
        <v>16</v>
      </c>
      <c r="G13" s="2" t="str">
        <f t="shared" ref="G13:G16" si="5">LevelSelected</f>
        <v>Level 2</v>
      </c>
      <c r="H13" s="2" t="s">
        <v>56</v>
      </c>
      <c r="I13" s="2">
        <f t="shared" ref="I13:I16" si="6">VLOOKUP(E13 &amp; "_" &amp; F13, InternalAssessment, 2,FALSE)</f>
        <v>27.857142857142858</v>
      </c>
      <c r="J13" s="2">
        <f t="shared" ref="J13:J16" si="7">VLOOKUP(E13 &amp; "_" &amp; F13, InternalAssessment, 3,FALSE)</f>
        <v>25</v>
      </c>
      <c r="K13" s="2">
        <f t="shared" ref="K13:K16" si="8">VLOOKUP(E13 &amp; "_" &amp; F13, InternalAssessment, 4,FALSE)</f>
        <v>0</v>
      </c>
      <c r="L13" s="2" t="b">
        <f>F13=$L$12</f>
        <v>0</v>
      </c>
      <c r="N13" s="2" t="s">
        <v>28</v>
      </c>
      <c r="O13" s="2" t="s">
        <v>61</v>
      </c>
      <c r="P13" s="1" t="s">
        <v>32</v>
      </c>
      <c r="Q13" s="2">
        <f>VLOOKUP(P13, ExternalUMS, MATCH(N13, ExternalHeadder, 0),FALSE)</f>
        <v>36</v>
      </c>
      <c r="R13" s="2" t="b">
        <f>IF(Q13 &gt; 0, TRUE, FALSE)</f>
        <v>1</v>
      </c>
      <c r="S13" s="2" t="b">
        <f>IF(LevelSelected="Level 1",OR(ISNUMBER(SEARCH("dis",P13)),ISNUMBER(SEARCH("2",P13))),P13="Distinction (Level 2)")</f>
        <v>0</v>
      </c>
      <c r="Z13" s="2">
        <v>80</v>
      </c>
      <c r="AA13" s="2">
        <v>90</v>
      </c>
      <c r="AB13" s="2">
        <f t="shared" ca="1" si="4"/>
        <v>0</v>
      </c>
      <c r="AC13" s="2" t="s">
        <v>57</v>
      </c>
      <c r="DQ13" s="2" t="s">
        <v>81</v>
      </c>
      <c r="DR13" s="2">
        <v>0</v>
      </c>
      <c r="DS13" s="2">
        <v>0</v>
      </c>
      <c r="DT13" s="2">
        <v>0</v>
      </c>
    </row>
    <row r="14" spans="3:169">
      <c r="C14" s="2">
        <v>1</v>
      </c>
      <c r="D14" s="2">
        <v>2</v>
      </c>
      <c r="E14" s="2" t="str">
        <f>"Unit 2 - Creating music - " &amp; G14</f>
        <v>Unit 2 - Creating music - Level 2</v>
      </c>
      <c r="F14" s="1" t="s">
        <v>16</v>
      </c>
      <c r="G14" s="2" t="str">
        <f t="shared" si="5"/>
        <v>Level 2</v>
      </c>
      <c r="H14" s="2" t="s">
        <v>56</v>
      </c>
      <c r="I14" s="2">
        <f t="shared" si="6"/>
        <v>27.857142857142858</v>
      </c>
      <c r="J14" s="2">
        <f t="shared" si="7"/>
        <v>25</v>
      </c>
      <c r="K14" s="2">
        <f t="shared" si="8"/>
        <v>0</v>
      </c>
      <c r="L14" s="2" t="b">
        <f t="shared" ref="L14:L16" si="9">F14=$L$12</f>
        <v>0</v>
      </c>
      <c r="N14" s="2" t="s">
        <v>29</v>
      </c>
      <c r="O14" s="2" t="s">
        <v>62</v>
      </c>
      <c r="P14" s="1" t="s">
        <v>32</v>
      </c>
      <c r="Q14" s="2">
        <f>VLOOKUP(P14, ExternalUMS, MATCH(N14, ExternalHeadder, 0),FALSE)</f>
        <v>84</v>
      </c>
      <c r="R14" s="2" t="b">
        <f>IF(Q14 &gt; 0, TRUE, FALSE)</f>
        <v>1</v>
      </c>
      <c r="S14" s="2" t="b">
        <f>IF(LevelSelected="Level 1",OR(ISNUMBER(SEARCH("dis",P14)),ISNUMBER(SEARCH("2",P14))),P14="Distinction (Level 2)")</f>
        <v>0</v>
      </c>
      <c r="Z14" s="2">
        <v>90</v>
      </c>
      <c r="AA14" s="2">
        <v>100</v>
      </c>
      <c r="AB14" s="2">
        <f t="shared" ca="1" si="4"/>
        <v>0</v>
      </c>
      <c r="AC14" s="2" t="s">
        <v>58</v>
      </c>
      <c r="CX14" s="2">
        <f>SUM(CX2:CX13)</f>
        <v>140</v>
      </c>
      <c r="DQ14" s="2" t="s">
        <v>82</v>
      </c>
      <c r="DR14" s="2">
        <v>0</v>
      </c>
      <c r="DS14" s="2">
        <v>0</v>
      </c>
      <c r="DT14" s="2">
        <v>0</v>
      </c>
    </row>
    <row r="15" spans="3:169">
      <c r="C15" s="2">
        <v>1</v>
      </c>
      <c r="D15" s="2">
        <v>3</v>
      </c>
      <c r="E15" s="2" t="str">
        <f>"Unit 3 - Studio recording - " &amp; G15</f>
        <v>Unit 3 - Studio recording - Level 2</v>
      </c>
      <c r="F15" s="1" t="s">
        <v>16</v>
      </c>
      <c r="G15" s="2" t="str">
        <f t="shared" si="5"/>
        <v>Level 2</v>
      </c>
      <c r="H15" s="2" t="s">
        <v>56</v>
      </c>
      <c r="I15" s="2">
        <f t="shared" si="6"/>
        <v>37.142857142857139</v>
      </c>
      <c r="J15" s="2">
        <f t="shared" si="7"/>
        <v>25</v>
      </c>
      <c r="K15" s="2">
        <f t="shared" si="8"/>
        <v>0</v>
      </c>
      <c r="L15" s="2" t="b">
        <f t="shared" si="9"/>
        <v>0</v>
      </c>
      <c r="Q15" s="2">
        <f>SUM(Q13:Q14)</f>
        <v>120</v>
      </c>
      <c r="R15" s="2" t="b">
        <f>AND(R13:R14,IF(TotalExternalUMS&gt;=RequiredExternalUMS,TRUE,FALSE))</f>
        <v>1</v>
      </c>
      <c r="DQ15" s="2" t="s">
        <v>83</v>
      </c>
      <c r="DR15" s="2">
        <v>0</v>
      </c>
      <c r="DS15" s="2">
        <v>0</v>
      </c>
      <c r="DT15" s="2">
        <v>0</v>
      </c>
    </row>
    <row r="16" spans="3:169">
      <c r="C16" s="2">
        <v>1</v>
      </c>
      <c r="D16" s="2">
        <v>4</v>
      </c>
      <c r="E16" s="2" t="str">
        <f>"Unit 4 - Sound creation - " &amp; G16</f>
        <v>Unit 4 - Sound creation - Level 2</v>
      </c>
      <c r="F16" s="1" t="s">
        <v>16</v>
      </c>
      <c r="G16" s="2" t="str">
        <f t="shared" si="5"/>
        <v>Level 2</v>
      </c>
      <c r="H16" s="2" t="s">
        <v>56</v>
      </c>
      <c r="I16" s="2">
        <f t="shared" si="6"/>
        <v>37.142857142857139</v>
      </c>
      <c r="J16" s="2">
        <f t="shared" si="7"/>
        <v>25</v>
      </c>
      <c r="K16" s="2">
        <f t="shared" si="8"/>
        <v>0</v>
      </c>
      <c r="L16" s="2" t="b">
        <f t="shared" si="9"/>
        <v>0</v>
      </c>
      <c r="DQ16" s="2" t="s">
        <v>84</v>
      </c>
      <c r="DR16" s="2">
        <f>VLOOKUP("Unit 2 - Creating Music - Level 1",RawScores,5,FALSE)</f>
        <v>0</v>
      </c>
      <c r="DS16" s="2">
        <v>0</v>
      </c>
      <c r="DT16" s="2">
        <v>1</v>
      </c>
    </row>
    <row r="17" spans="6:124">
      <c r="F17" s="7"/>
      <c r="DQ17" s="2" t="s">
        <v>85</v>
      </c>
      <c r="DR17" s="2">
        <f>VLOOKUP("Unit 2 - Creating Music - Level 2",RawScores,5,FALSE)</f>
        <v>0</v>
      </c>
      <c r="DS17" s="2">
        <v>0</v>
      </c>
      <c r="DT17" s="2">
        <v>1</v>
      </c>
    </row>
    <row r="18" spans="6:124">
      <c r="F18" s="7"/>
      <c r="DQ18" s="2" t="s">
        <v>86</v>
      </c>
      <c r="DR18" s="2">
        <f>VLOOKUP("Unit 2 - Creating Music - Level 1",RawScores,6,FALSE)</f>
        <v>0</v>
      </c>
      <c r="DS18" s="2">
        <v>25</v>
      </c>
      <c r="DT18" s="2">
        <v>0</v>
      </c>
    </row>
    <row r="19" spans="6:124">
      <c r="DQ19" s="2" t="s">
        <v>87</v>
      </c>
      <c r="DR19" s="2">
        <f>VLOOKUP("Unit 2 - Creating Music - Level 2",RawScores,6,FALSE)</f>
        <v>27.857142857142858</v>
      </c>
      <c r="DS19" s="2">
        <v>25</v>
      </c>
      <c r="DT19" s="2">
        <v>0</v>
      </c>
    </row>
    <row r="20" spans="6:124">
      <c r="DQ20" s="2" t="s">
        <v>88</v>
      </c>
      <c r="DR20" s="2">
        <f>VLOOKUP("Unit 2 - Creating Music - Level 1",RawScores,7,FALSE)</f>
        <v>0</v>
      </c>
      <c r="DS20" s="2">
        <v>25</v>
      </c>
      <c r="DT20" s="2">
        <v>0</v>
      </c>
    </row>
    <row r="21" spans="6:124">
      <c r="DQ21" s="2" t="s">
        <v>89</v>
      </c>
      <c r="DR21" s="2">
        <f>VLOOKUP("Unit 2 - Creating Music - Level 2",RawScores,7,FALSE)</f>
        <v>32.142857142857139</v>
      </c>
      <c r="DS21" s="2">
        <v>25</v>
      </c>
      <c r="DT21" s="2">
        <v>0</v>
      </c>
    </row>
    <row r="22" spans="6:124">
      <c r="DQ22" s="2" t="s">
        <v>90</v>
      </c>
      <c r="DR22" s="2">
        <f>VLOOKUP("Unit 2 - Creating Music - Level 1",RawScores,8,FALSE)</f>
        <v>0</v>
      </c>
      <c r="DS22" s="2">
        <v>25</v>
      </c>
      <c r="DT22" s="2">
        <v>0</v>
      </c>
    </row>
    <row r="23" spans="6:124">
      <c r="DQ23" s="2" t="s">
        <v>91</v>
      </c>
      <c r="DR23" s="2">
        <f>VLOOKUP("Unit 2 - Creating Music - Level 2",RawScores,8,FALSE)</f>
        <v>36.428571428571423</v>
      </c>
      <c r="DS23" s="2">
        <v>25</v>
      </c>
      <c r="DT23" s="2">
        <v>0</v>
      </c>
    </row>
    <row r="24" spans="6:124">
      <c r="DQ24" s="2" t="s">
        <v>94</v>
      </c>
      <c r="DR24" s="2">
        <v>0</v>
      </c>
      <c r="DS24" s="2">
        <v>0</v>
      </c>
      <c r="DT24" s="2">
        <v>0</v>
      </c>
    </row>
    <row r="25" spans="6:124">
      <c r="DQ25" s="2" t="s">
        <v>95</v>
      </c>
      <c r="DR25" s="2">
        <v>0</v>
      </c>
      <c r="DS25" s="2">
        <v>0</v>
      </c>
      <c r="DT25" s="2">
        <v>0</v>
      </c>
    </row>
    <row r="26" spans="6:124">
      <c r="DQ26" s="2" t="s">
        <v>96</v>
      </c>
      <c r="DR26" s="2">
        <v>0</v>
      </c>
      <c r="DS26" s="2">
        <v>0</v>
      </c>
      <c r="DT26" s="2">
        <v>0</v>
      </c>
    </row>
    <row r="27" spans="6:124">
      <c r="DQ27" s="2" t="s">
        <v>97</v>
      </c>
      <c r="DR27" s="2">
        <f>VLOOKUP("Unit 3 - Studio Recording - Level 1",RawScores,5,FALSE)</f>
        <v>0</v>
      </c>
      <c r="DS27" s="2">
        <v>0</v>
      </c>
      <c r="DT27" s="2">
        <v>1</v>
      </c>
    </row>
    <row r="28" spans="6:124">
      <c r="DQ28" s="2" t="s">
        <v>98</v>
      </c>
      <c r="DR28" s="2">
        <f>VLOOKUP("Unit 3 - Studio Recording - Level 2",RawScores,5,FALSE)</f>
        <v>0</v>
      </c>
      <c r="DS28" s="2">
        <v>0</v>
      </c>
      <c r="DT28" s="2">
        <v>1</v>
      </c>
    </row>
    <row r="29" spans="6:124">
      <c r="DQ29" s="2" t="s">
        <v>99</v>
      </c>
      <c r="DR29" s="2">
        <f>VLOOKUP("Unit 3 - Studio Recording - Level 1",RawScores,6,FALSE)</f>
        <v>0</v>
      </c>
      <c r="DS29" s="2">
        <v>25</v>
      </c>
      <c r="DT29" s="2">
        <v>0</v>
      </c>
    </row>
    <row r="30" spans="6:124">
      <c r="DQ30" s="2" t="s">
        <v>100</v>
      </c>
      <c r="DR30" s="2">
        <f>VLOOKUP("Unit 3 - Studio Recording - Level 2",RawScores,6,FALSE)</f>
        <v>37.142857142857139</v>
      </c>
      <c r="DS30" s="2">
        <v>25</v>
      </c>
      <c r="DT30" s="2">
        <v>0</v>
      </c>
    </row>
    <row r="31" spans="6:124">
      <c r="DQ31" s="2" t="s">
        <v>101</v>
      </c>
      <c r="DR31" s="2">
        <f>VLOOKUP("Unit 3 - Studio Recording - Level 1",RawScores,7,FALSE)</f>
        <v>0</v>
      </c>
      <c r="DS31" s="2">
        <v>25</v>
      </c>
      <c r="DT31" s="2">
        <v>0</v>
      </c>
    </row>
    <row r="32" spans="6:124">
      <c r="DQ32" s="2" t="s">
        <v>102</v>
      </c>
      <c r="DR32" s="2">
        <f>VLOOKUP("Unit 3 - Studio Recording - Level 2",RawScores,7,FALSE)</f>
        <v>42.857142857142854</v>
      </c>
      <c r="DS32" s="2">
        <v>25</v>
      </c>
      <c r="DT32" s="2">
        <v>0</v>
      </c>
    </row>
    <row r="33" spans="121:124">
      <c r="DQ33" s="2" t="s">
        <v>103</v>
      </c>
      <c r="DR33" s="2">
        <f>VLOOKUP("Unit 3 - Studio Recording - Level 1",RawScores,8,FALSE)</f>
        <v>0</v>
      </c>
      <c r="DS33" s="2">
        <v>25</v>
      </c>
      <c r="DT33" s="2">
        <v>0</v>
      </c>
    </row>
    <row r="34" spans="121:124">
      <c r="DQ34" s="2" t="s">
        <v>104</v>
      </c>
      <c r="DR34" s="2">
        <f>VLOOKUP("Unit 3 - Studio Recording - Level 2",RawScores,8,FALSE)</f>
        <v>48.571428571428569</v>
      </c>
      <c r="DS34" s="2">
        <v>25</v>
      </c>
      <c r="DT34" s="2">
        <v>0</v>
      </c>
    </row>
    <row r="35" spans="121:124">
      <c r="DQ35" s="2" t="s">
        <v>107</v>
      </c>
      <c r="DR35" s="2">
        <v>0</v>
      </c>
      <c r="DS35" s="2">
        <v>0</v>
      </c>
      <c r="DT35" s="2">
        <v>0</v>
      </c>
    </row>
    <row r="36" spans="121:124">
      <c r="DQ36" s="2" t="s">
        <v>108</v>
      </c>
      <c r="DR36" s="2">
        <v>0</v>
      </c>
      <c r="DS36" s="2">
        <v>0</v>
      </c>
      <c r="DT36" s="2">
        <v>0</v>
      </c>
    </row>
    <row r="37" spans="121:124">
      <c r="DQ37" s="2" t="s">
        <v>109</v>
      </c>
      <c r="DR37" s="2">
        <v>0</v>
      </c>
      <c r="DS37" s="2">
        <v>0</v>
      </c>
      <c r="DT37" s="2">
        <v>0</v>
      </c>
    </row>
    <row r="38" spans="121:124">
      <c r="DQ38" s="2" t="s">
        <v>110</v>
      </c>
      <c r="DR38" s="2">
        <f>VLOOKUP("Unit 4 - Sound Creation - Level 1",RawScores,5,FALSE)</f>
        <v>0</v>
      </c>
      <c r="DS38" s="2">
        <v>0</v>
      </c>
      <c r="DT38" s="2">
        <v>1</v>
      </c>
    </row>
    <row r="39" spans="121:124">
      <c r="DQ39" s="2" t="s">
        <v>111</v>
      </c>
      <c r="DR39" s="2">
        <f>VLOOKUP("Unit 4 - Sound Creation - Level 2",RawScores,5,FALSE)</f>
        <v>0</v>
      </c>
      <c r="DS39" s="2">
        <v>0</v>
      </c>
      <c r="DT39" s="2">
        <v>1</v>
      </c>
    </row>
    <row r="40" spans="121:124">
      <c r="DQ40" s="2" t="s">
        <v>112</v>
      </c>
      <c r="DR40" s="2">
        <f>VLOOKUP("Unit 4 - Sound Creation - Level 1",RawScores,6,FALSE)</f>
        <v>0</v>
      </c>
      <c r="DS40" s="2">
        <v>25</v>
      </c>
      <c r="DT40" s="2">
        <v>0</v>
      </c>
    </row>
    <row r="41" spans="121:124">
      <c r="DQ41" s="2" t="s">
        <v>113</v>
      </c>
      <c r="DR41" s="2">
        <f>VLOOKUP("Unit 4 - Sound Creation - Level 2",RawScores,6,FALSE)</f>
        <v>37.142857142857139</v>
      </c>
      <c r="DS41" s="2">
        <v>25</v>
      </c>
      <c r="DT41" s="2">
        <v>0</v>
      </c>
    </row>
    <row r="42" spans="121:124">
      <c r="DQ42" s="2" t="s">
        <v>114</v>
      </c>
      <c r="DR42" s="2">
        <f>VLOOKUP("Unit 4 - Sound Creation - Level 1",RawScores,7,FALSE)</f>
        <v>0</v>
      </c>
      <c r="DS42" s="2">
        <v>25</v>
      </c>
      <c r="DT42" s="2">
        <v>0</v>
      </c>
    </row>
    <row r="43" spans="121:124">
      <c r="DQ43" s="2" t="s">
        <v>115</v>
      </c>
      <c r="DR43" s="2">
        <f>VLOOKUP("Unit 4 - Sound Creation - Level 2",RawScores,7,FALSE)</f>
        <v>42.857142857142854</v>
      </c>
      <c r="DS43" s="2">
        <v>25</v>
      </c>
      <c r="DT43" s="2">
        <v>0</v>
      </c>
    </row>
    <row r="44" spans="121:124">
      <c r="DQ44" s="2" t="s">
        <v>116</v>
      </c>
      <c r="DR44" s="2">
        <f>VLOOKUP("Unit 4 - Sound Creation - Level 1",RawScores,8,FALSE)</f>
        <v>0</v>
      </c>
      <c r="DS44" s="2">
        <v>25</v>
      </c>
      <c r="DT44" s="2">
        <v>0</v>
      </c>
    </row>
    <row r="45" spans="121:124">
      <c r="DQ45" s="2" t="s">
        <v>117</v>
      </c>
      <c r="DR45" s="2">
        <f>VLOOKUP("Unit 4 - Sound Creation - Level 2",RawScores,8,FALSE)</f>
        <v>48.571428571428569</v>
      </c>
      <c r="DS45" s="2">
        <v>25</v>
      </c>
      <c r="DT45" s="2">
        <v>0</v>
      </c>
    </row>
  </sheetData>
  <sheetProtection algorithmName="SHA-512" hashValue="knB4GdmxzowqWCaBi/CZQCX/s0+Cpkkwb9Aqtk+Ay7EwMomcEAU3nV/+Fnr0e7rCCzBRnuWWh6zQY4H6byi4sw==" saltValue="Tz0ItogsdHnZtB4IGZknaw==" spinCount="100000" sheet="1" objects="1" scenarios="1"/>
  <dataValidations count="3">
    <dataValidation type="list" allowBlank="1" showErrorMessage="1" errorTitle="Error" error="Selection not valid" sqref="F10" xr:uid="{00000000-0002-0000-0000-000000000000}">
      <formula1>Levels</formula1>
    </dataValidation>
    <dataValidation type="list" allowBlank="1" showErrorMessage="1" errorTitle="Error" error="Selection not valid" sqref="F13:F16" xr:uid="{00000000-0002-0000-0000-000001000000}">
      <formula1>MandatoryGrades</formula1>
    </dataValidation>
    <dataValidation type="list" allowBlank="1" showErrorMessage="1" errorTitle="Error" error="Selection not valid" sqref="P13:P14" xr:uid="{00000000-0002-0000-0000-000002000000}">
      <formula1>ExternalSelect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Qualification Grade</vt:lpstr>
      <vt:lpstr>'Qualification Grade'!ExternalHeadder</vt:lpstr>
      <vt:lpstr>'Qualification Grade'!ExternalMet</vt:lpstr>
      <vt:lpstr>'Qualification Grade'!ExternalSelect</vt:lpstr>
      <vt:lpstr>'Qualification Grade'!ExternalUMS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Grade'!InternalRawMaxGradeCalc</vt:lpstr>
      <vt:lpstr>'Qualification Grade'!Levels</vt:lpstr>
      <vt:lpstr>'Qualification Grade'!LevelSelected</vt:lpstr>
      <vt:lpstr>'Qualification Grade'!MandatoryGrades</vt:lpstr>
      <vt:lpstr>'Qualification Grade'!MandatoryScoreGroup</vt:lpstr>
      <vt:lpstr>'Qualification Grade'!RawGrade</vt:lpstr>
      <vt:lpstr>'Qualification Grade'!RawScores</vt:lpstr>
      <vt:lpstr>'Qualification Grade'!RawUmsPercent</vt:lpstr>
      <vt:lpstr>'Qualification Grade'!RequiredExternalUMS</vt:lpstr>
      <vt:lpstr>'Qualification Grade'!Selections</vt:lpstr>
      <vt:lpstr>'Qualification Grade'!TotalExternalUMS</vt:lpstr>
      <vt:lpstr>'Qualification Grade'!TotalGHL</vt:lpstr>
      <vt:lpstr>'Qualification Grade'!TotalGradeCalc</vt:lpstr>
      <vt:lpstr>'Qualification Grade'!TotalInternalUMS</vt:lpstr>
      <vt:lpstr>'Qualification Grade'!TotalUMS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Fielding</dc:creator>
  <cp:lastModifiedBy>Joe Priddle</cp:lastModifiedBy>
  <dcterms:created xsi:type="dcterms:W3CDTF">2017-09-13T11:15:35Z</dcterms:created>
  <dcterms:modified xsi:type="dcterms:W3CDTF">2018-12-27T19:54:49Z</dcterms:modified>
</cp:coreProperties>
</file>